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<sst xmlns="http://schemas.openxmlformats.org/spreadsheetml/2006/main" count="167" uniqueCount="113">
  <si>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</si>
  <si>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</si>
  <si>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</si>
  <si>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</si>
  <si>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</si>
  <si>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</si>
  <si>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</si>
  <si>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</si>
  <si>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</si>
  <si>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</si>
  <si>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</si>
  <si>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</si>
  <si>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</si>
  <si>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</si>
  <si>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</si>
  <si>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</si>
  <si>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</si>
  <si>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</si>
  <si>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</si>
  <si>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</si>
  <si>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</si>
  <si>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</si>
  <si>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</si>
  <si>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</si>
  <si>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</si>
  <si>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</si>
  <si>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</si>
  <si>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</si>
  <si>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</si>
  <si>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</si>
  <si>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</si>
  <si>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</si>
  <si>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</si>
  <si>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</si>
  <si>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</si>
  <si>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</si>
  <si>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</si>
  <si>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</si>
  <si>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</si>
  <si>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</si>
  <si>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</si>
  <si>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</si>
  <si>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</si>
  <si>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</si>
  <si>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</si>
  <si>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</si>
  <si>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</si>
  <si>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</si>
  <si>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</si>
  <si>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</si>
  <si>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</si>
  <si>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</si>
  <si>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</si>
  <si>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</si>
  <si>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</si>
  <si>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</si>
  <si>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</si>
  <si>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</si>
  <si>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</si>
  <si>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</si>
  <si>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</si>
  <si>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</si>
  <si>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</si>
  <si>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</si>
  <si>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</si>
  <si>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</si>
  <si>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</si>
  <si>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</si>
  <si>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</si>
  <si>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</si>
  <si>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</si>
  <si>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</si>
  <si>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</si>
  <si>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</si>
  <si>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</si>
  <si>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</si>
  <si>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</si>
  <si>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</si>
  <si>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</si>
  <si>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</si>
  <si>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</si>
  <si>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</si>
  <si>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</si>
  <si>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</si>
  <si>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</si>
  <si>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</si>
  <si>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</si>
  <si>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</si>
  <si>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</si>
  <si>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</si>
  <si>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</si>
  <si>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</si>
  <si>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</si>
  <si>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</si>
  <si>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</si>
  <si>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</si>
  <si>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</si>
  <si>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</si>
  <si>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</si>
  <si>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</si>
  <si>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</si>
  <si>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</si>
  <si>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</si>
  <si>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</si>
  <si>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</si>
  <si>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</si>
  <si>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</si>
  <si>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</si>
  <si>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План на 3 місяці тис.грн.</t>
  </si>
  <si>
    <t>Відсоток виконання  плану 3 місяців</t>
  </si>
  <si>
    <t>Відхилення від  плану 3 місяців, тис.грн.</t>
  </si>
  <si>
    <t>Обслуговування цінних паперів</t>
  </si>
  <si>
    <t>Аналіз використання коштів загального фонду міського бюджету станом на 15.03.2019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</si>
</sst>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5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41106.100000000006</c:v>
                </c:pt>
                <c:pt idx="1">
                  <c:v>39162.19999999999</c:v>
                </c:pt>
                <c:pt idx="2">
                  <c:v>665</c:v>
                </c:pt>
                <c:pt idx="3">
                  <c:v>1278.900000000016</c:v>
                </c:pt>
              </c:numCache>
            </c:numRef>
          </c:val>
          <c:shape val="box"/>
        </c:ser>
        <c:shape val="box"/>
        <c:axId val="27551177"/>
        <c:axId val="46634002"/>
      </c:bar3D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34002"/>
        <c:crosses val="autoZero"/>
        <c:auto val="1"/>
        <c:lblOffset val="100"/>
        <c:tickLblSkip val="1"/>
        <c:noMultiLvlLbl val="0"/>
      </c:catAx>
      <c:valAx>
        <c:axId val="46634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1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075"/>
          <c:w val="0.8435"/>
          <c:h val="0.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914020.2</c:v>
                </c:pt>
                <c:pt idx="1">
                  <c:v>298959.4</c:v>
                </c:pt>
                <c:pt idx="2">
                  <c:v>726687.6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32547.099999999962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174672.30000000005</c:v>
                </c:pt>
                <c:pt idx="1">
                  <c:v>44441.5</c:v>
                </c:pt>
                <c:pt idx="2">
                  <c:v>136683.4</c:v>
                </c:pt>
                <c:pt idx="3">
                  <c:v>17.5</c:v>
                </c:pt>
                <c:pt idx="4">
                  <c:v>8112.4</c:v>
                </c:pt>
                <c:pt idx="5">
                  <c:v>24838.699999999997</c:v>
                </c:pt>
                <c:pt idx="6">
                  <c:v>2444.7</c:v>
                </c:pt>
                <c:pt idx="7">
                  <c:v>2575.600000000054</c:v>
                </c:pt>
              </c:numCache>
            </c:numRef>
          </c:val>
          <c:shape val="box"/>
        </c:ser>
        <c:shape val="box"/>
        <c:axId val="17052835"/>
        <c:axId val="19257788"/>
      </c:bar3D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57788"/>
        <c:crosses val="autoZero"/>
        <c:auto val="1"/>
        <c:lblOffset val="100"/>
        <c:tickLblSkip val="1"/>
        <c:noMultiLvlLbl val="0"/>
      </c:catAx>
      <c:valAx>
        <c:axId val="19257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2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6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417092.10000000003</c:v>
                </c:pt>
                <c:pt idx="1">
                  <c:v>204458.2</c:v>
                </c:pt>
                <c:pt idx="2">
                  <c:v>999.4</c:v>
                </c:pt>
                <c:pt idx="3">
                  <c:v>416092.7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74773</c:v>
                </c:pt>
                <c:pt idx="1">
                  <c:v>45767.2</c:v>
                </c:pt>
                <c:pt idx="3">
                  <c:v>74773</c:v>
                </c:pt>
              </c:numCache>
            </c:numRef>
          </c:val>
          <c:shape val="box"/>
        </c:ser>
        <c:shape val="box"/>
        <c:axId val="39102365"/>
        <c:axId val="16376966"/>
      </c:bar3D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2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230.6</c:v>
                </c:pt>
                <c:pt idx="6">
                  <c:v>9210.9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4571.000000000001</c:v>
                </c:pt>
                <c:pt idx="1">
                  <c:v>2521.9</c:v>
                </c:pt>
                <c:pt idx="2">
                  <c:v>19.5</c:v>
                </c:pt>
                <c:pt idx="3">
                  <c:v>373.30000000000007</c:v>
                </c:pt>
                <c:pt idx="4">
                  <c:v>69.3</c:v>
                </c:pt>
                <c:pt idx="5">
                  <c:v>5.1</c:v>
                </c:pt>
                <c:pt idx="6">
                  <c:v>1581.9000000000008</c:v>
                </c:pt>
              </c:numCache>
            </c:numRef>
          </c:val>
          <c:shape val="box"/>
        </c:ser>
        <c:shape val="box"/>
        <c:axId val="13174967"/>
        <c:axId val="51465840"/>
      </c:bar3D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65840"/>
        <c:crosses val="autoZero"/>
        <c:auto val="1"/>
        <c:lblOffset val="100"/>
        <c:tickLblSkip val="1"/>
        <c:noMultiLvlLbl val="0"/>
      </c:catAx>
      <c:valAx>
        <c:axId val="5146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49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6733.299999999999</c:v>
                </c:pt>
                <c:pt idx="1">
                  <c:v>4624.599999999999</c:v>
                </c:pt>
                <c:pt idx="3">
                  <c:v>159.99999999999997</c:v>
                </c:pt>
                <c:pt idx="4">
                  <c:v>120.30000000000001</c:v>
                </c:pt>
                <c:pt idx="5">
                  <c:v>227</c:v>
                </c:pt>
                <c:pt idx="6">
                  <c:v>1601.3999999999999</c:v>
                </c:pt>
              </c:numCache>
            </c:numRef>
          </c:val>
          <c:shape val="box"/>
        </c:ser>
        <c:shape val="box"/>
        <c:axId val="60539377"/>
        <c:axId val="7983482"/>
      </c:bar3D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83482"/>
        <c:crosses val="autoZero"/>
        <c:auto val="1"/>
        <c:lblOffset val="100"/>
        <c:tickLblSkip val="2"/>
        <c:noMultiLvlLbl val="0"/>
      </c:catAx>
      <c:valAx>
        <c:axId val="7983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9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9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830</c:v>
                </c:pt>
                <c:pt idx="1">
                  <c:v>644.4000000000001</c:v>
                </c:pt>
                <c:pt idx="3">
                  <c:v>172.3</c:v>
                </c:pt>
                <c:pt idx="5">
                  <c:v>13.299999999999898</c:v>
                </c:pt>
              </c:numCache>
            </c:numRef>
          </c:val>
          <c:shape val="box"/>
        </c:ser>
        <c:shape val="box"/>
        <c:axId val="4742475"/>
        <c:axId val="42682276"/>
      </c:bar3DChart>
      <c:cat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82276"/>
        <c:crosses val="autoZero"/>
        <c:auto val="1"/>
        <c:lblOffset val="100"/>
        <c:tickLblSkip val="1"/>
        <c:noMultiLvlLbl val="0"/>
      </c:catAx>
      <c:valAx>
        <c:axId val="4268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5"/>
          <c:w val="0.85275"/>
          <c:h val="0.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7258.6</c:v>
                </c:pt>
              </c:numCache>
            </c:numRef>
          </c:val>
          <c:shape val="box"/>
        </c:ser>
        <c:shape val="box"/>
        <c:axId val="48596165"/>
        <c:axId val="34712302"/>
      </c:bar3D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275"/>
          <c:w val="0.851"/>
          <c:h val="0.58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914020.2</c:v>
                </c:pt>
                <c:pt idx="1">
                  <c:v>417092.10000000003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174672.30000000005</c:v>
                </c:pt>
                <c:pt idx="1">
                  <c:v>74773</c:v>
                </c:pt>
                <c:pt idx="2">
                  <c:v>4571.000000000001</c:v>
                </c:pt>
                <c:pt idx="3">
                  <c:v>6733.299999999999</c:v>
                </c:pt>
                <c:pt idx="4">
                  <c:v>830</c:v>
                </c:pt>
                <c:pt idx="5">
                  <c:v>41106.100000000006</c:v>
                </c:pt>
                <c:pt idx="6">
                  <c:v>7258.6</c:v>
                </c:pt>
              </c:numCache>
            </c:numRef>
          </c:val>
          <c:shape val="box"/>
        </c:ser>
        <c:shape val="box"/>
        <c:axId val="43975263"/>
        <c:axId val="60233048"/>
      </c:bar3D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55"/>
          <c:w val="0.84125"/>
          <c:h val="0.48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984460.0000000001</c:v>
                </c:pt>
                <c:pt idx="1">
                  <c:v>125178.8</c:v>
                </c:pt>
                <c:pt idx="2">
                  <c:v>48385.3</c:v>
                </c:pt>
                <c:pt idx="3">
                  <c:v>90012.5</c:v>
                </c:pt>
                <c:pt idx="4">
                  <c:v>122.9</c:v>
                </c:pt>
                <c:pt idx="5">
                  <c:v>1237318.5000000005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186694.79999999996</c:v>
                </c:pt>
                <c:pt idx="1">
                  <c:v>27661.399999999998</c:v>
                </c:pt>
                <c:pt idx="2">
                  <c:v>8310.699999999999</c:v>
                </c:pt>
                <c:pt idx="3">
                  <c:v>12294</c:v>
                </c:pt>
                <c:pt idx="4">
                  <c:v>17.5</c:v>
                </c:pt>
                <c:pt idx="5">
                  <c:v>183710.50000000006</c:v>
                </c:pt>
              </c:numCache>
            </c:numRef>
          </c:val>
          <c:shape val="box"/>
        </c:ser>
        <c:shape val="box"/>
        <c:axId val="5226521"/>
        <c:axId val="47038690"/>
      </c:bar3D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38690"/>
        <c:crosses val="autoZero"/>
        <c:auto val="1"/>
        <c:lblOffset val="100"/>
        <c:tickLblSkip val="1"/>
        <c:noMultiLvlLbl val="0"/>
      </c:catAx>
      <c:valAx>
        <c:axId val="47038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85" zoomScaleNormal="80" zoomScaleSheetLayoutView="85" workbookViewId="0" topLeftCell="A1">
      <selection activeCell="A2" sqref="A2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6" t="s">
        <v>112</v>
      </c>
      <c r="B1" s="156"/>
      <c r="C1" s="156"/>
      <c r="D1" s="156"/>
      <c r="E1" s="156"/>
      <c r="F1" s="156"/>
      <c r="G1" s="156"/>
      <c r="H1" s="156"/>
      <c r="I1" s="15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0" t="s">
        <v>38</v>
      </c>
      <c r="B3" s="163" t="s">
        <v>108</v>
      </c>
      <c r="C3" s="157" t="s">
        <v>103</v>
      </c>
      <c r="D3" s="157" t="s">
        <v>20</v>
      </c>
      <c r="E3" s="157" t="s">
        <v>19</v>
      </c>
      <c r="F3" s="157" t="s">
        <v>109</v>
      </c>
      <c r="G3" s="157" t="s">
        <v>105</v>
      </c>
      <c r="H3" s="157" t="s">
        <v>110</v>
      </c>
      <c r="I3" s="157" t="s">
        <v>104</v>
      </c>
    </row>
    <row r="4" spans="1:9" ht="24.75" customHeight="1">
      <c r="A4" s="161"/>
      <c r="B4" s="164"/>
      <c r="C4" s="158"/>
      <c r="D4" s="158"/>
      <c r="E4" s="158"/>
      <c r="F4" s="158"/>
      <c r="G4" s="158"/>
      <c r="H4" s="158"/>
      <c r="I4" s="158"/>
    </row>
    <row r="5" spans="1:10" ht="39" customHeight="1" thickBot="1">
      <c r="A5" s="162"/>
      <c r="B5" s="165"/>
      <c r="C5" s="159"/>
      <c r="D5" s="159"/>
      <c r="E5" s="159"/>
      <c r="F5" s="159"/>
      <c r="G5" s="159"/>
      <c r="H5" s="159"/>
      <c r="I5" s="159"/>
      <c r="J5" s="142"/>
    </row>
    <row r="6" spans="1:10" ht="18.75" thickBot="1">
      <c r="A6" s="18" t="s">
        <v>24</v>
      </c>
      <c r="B6" s="34">
        <f>250643.9+3.2+21.3</f>
        <v>250668.4</v>
      </c>
      <c r="C6" s="35">
        <f>913995.7+3.2+21.3</f>
        <v>914020.2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</f>
        <v>174672.30000000005</v>
      </c>
      <c r="E6" s="3">
        <f>D6/D155*100</f>
        <v>41.71887527947362</v>
      </c>
      <c r="F6" s="3">
        <f>D6/B6*100</f>
        <v>69.6826165563749</v>
      </c>
      <c r="G6" s="3">
        <f aca="true" t="shared" si="0" ref="G6:G43">D6/C6*100</f>
        <v>19.110332572518644</v>
      </c>
      <c r="H6" s="36">
        <f>B6-D6</f>
        <v>75996.09999999995</v>
      </c>
      <c r="I6" s="36">
        <f aca="true" t="shared" si="1" ref="I6:I43">C6-D6</f>
        <v>739347.8999999999</v>
      </c>
      <c r="J6" s="142"/>
    </row>
    <row r="7" spans="1:9" s="84" customFormat="1" ht="18.75">
      <c r="A7" s="125" t="s">
        <v>79</v>
      </c>
      <c r="B7" s="126">
        <f>69058.8+3.2</f>
        <v>69062</v>
      </c>
      <c r="C7" s="127">
        <f>298956.2+3.2</f>
        <v>298959.4</v>
      </c>
      <c r="D7" s="128">
        <f>9623.1+1044.7+273.5+10510.2+12398.6+40.7+10550.7</f>
        <v>44441.5</v>
      </c>
      <c r="E7" s="129">
        <f>D7/D6*100</f>
        <v>25.442786291816155</v>
      </c>
      <c r="F7" s="129">
        <f>D7/B7*100</f>
        <v>64.35014914135125</v>
      </c>
      <c r="G7" s="129">
        <f>D7/C7*100</f>
        <v>14.865396438446155</v>
      </c>
      <c r="H7" s="128">
        <f>B7-D7</f>
        <v>24620.5</v>
      </c>
      <c r="I7" s="128">
        <f t="shared" si="1"/>
        <v>254517.90000000002</v>
      </c>
    </row>
    <row r="8" spans="1:9" s="142" customFormat="1" ht="18">
      <c r="A8" s="90" t="s">
        <v>3</v>
      </c>
      <c r="B8" s="112">
        <f>173692.9+0.1+3.2</f>
        <v>173696.2</v>
      </c>
      <c r="C8" s="113">
        <f>726684.4+3.2</f>
        <v>726687.6</v>
      </c>
      <c r="D8" s="92">
        <f>20722.3+1.9+16592.9+1044.7+15069.2+2403.3+273.5+14243.2+10510.2+12398.6+19789.8+60.7+23573.1</f>
        <v>136683.4</v>
      </c>
      <c r="E8" s="94">
        <f>D8/D6*100</f>
        <v>78.25133120706602</v>
      </c>
      <c r="F8" s="94">
        <f>D8/B8*100</f>
        <v>78.69107096182874</v>
      </c>
      <c r="G8" s="94">
        <f t="shared" si="0"/>
        <v>18.809100361696</v>
      </c>
      <c r="H8" s="92">
        <f>B8-D8</f>
        <v>37012.80000000002</v>
      </c>
      <c r="I8" s="92">
        <f t="shared" si="1"/>
        <v>590004.2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</f>
        <v>17.5</v>
      </c>
      <c r="E9" s="114">
        <f>D9/D6*100</f>
        <v>0.010018760845308613</v>
      </c>
      <c r="F9" s="94">
        <f>D9/B9*100</f>
        <v>33.849129593810446</v>
      </c>
      <c r="G9" s="94">
        <f t="shared" si="0"/>
        <v>16.682554814108673</v>
      </c>
      <c r="H9" s="92">
        <f aca="true" t="shared" si="2" ref="H9:H43">B9-D9</f>
        <v>34.2</v>
      </c>
      <c r="I9" s="92">
        <f t="shared" si="1"/>
        <v>87.4</v>
      </c>
    </row>
    <row r="10" spans="1:9" s="142" customFormat="1" ht="18">
      <c r="A10" s="90" t="s">
        <v>1</v>
      </c>
      <c r="B10" s="112">
        <v>13750.3</v>
      </c>
      <c r="C10" s="113">
        <v>43439.8</v>
      </c>
      <c r="D10" s="130">
        <f>525.8+44.4+601.2+43.3+356.4+55.6+22.2+1183.8+262+357.1+64+47.5+133.7+449.5+46.4+224.9+741.1+480.4+382.5-93.5+0.2+240.3+427.1+446.9+102.1+46+154.6+766.9</f>
        <v>8112.4</v>
      </c>
      <c r="E10" s="94">
        <f>D10/D6*100</f>
        <v>4.644354027513233</v>
      </c>
      <c r="F10" s="94">
        <f aca="true" t="shared" si="3" ref="F10:F41">D10/B10*100</f>
        <v>58.99798549849822</v>
      </c>
      <c r="G10" s="94">
        <f t="shared" si="0"/>
        <v>18.675039940331214</v>
      </c>
      <c r="H10" s="92">
        <f t="shared" si="2"/>
        <v>5637.9</v>
      </c>
      <c r="I10" s="92">
        <f t="shared" si="1"/>
        <v>35327.4</v>
      </c>
    </row>
    <row r="11" spans="1:9" s="142" customFormat="1" ht="18">
      <c r="A11" s="90" t="s">
        <v>0</v>
      </c>
      <c r="B11" s="112">
        <v>51702.6</v>
      </c>
      <c r="C11" s="113">
        <v>98224.3</v>
      </c>
      <c r="D11" s="131">
        <f>39.4+1482.5+161.1+446.7+223.7+143.2+2067.6+42+0.7+3077.2+2292.1+4098.5+884.8+1.1+688.8+1267.7+920.8+531.8+2870.4+2522+1076.6</f>
        <v>24838.699999999997</v>
      </c>
      <c r="E11" s="94">
        <f>D11/D6*100</f>
        <v>14.220171143335259</v>
      </c>
      <c r="F11" s="94">
        <f t="shared" si="3"/>
        <v>48.041491143578845</v>
      </c>
      <c r="G11" s="94">
        <f t="shared" si="0"/>
        <v>25.28773429792831</v>
      </c>
      <c r="H11" s="92">
        <f t="shared" si="2"/>
        <v>26863.9</v>
      </c>
      <c r="I11" s="92">
        <f t="shared" si="1"/>
        <v>73385.6</v>
      </c>
    </row>
    <row r="12" spans="1:9" s="142" customFormat="1" ht="18">
      <c r="A12" s="90" t="s">
        <v>12</v>
      </c>
      <c r="B12" s="112">
        <v>3419.7</v>
      </c>
      <c r="C12" s="113">
        <v>13016.5</v>
      </c>
      <c r="D12" s="92">
        <f>134.7+863.6+21+169+134.3+503.1+242.3+376.7</f>
        <v>2444.7</v>
      </c>
      <c r="E12" s="94">
        <f>D12/D6*100</f>
        <v>1.3995922650586266</v>
      </c>
      <c r="F12" s="94">
        <f t="shared" si="3"/>
        <v>71.48872708132292</v>
      </c>
      <c r="G12" s="94">
        <f t="shared" si="0"/>
        <v>18.781546498674757</v>
      </c>
      <c r="H12" s="92">
        <f>B12-D12</f>
        <v>975</v>
      </c>
      <c r="I12" s="92">
        <f t="shared" si="1"/>
        <v>10571.8</v>
      </c>
    </row>
    <row r="13" spans="1:9" s="142" customFormat="1" ht="18.75" thickBot="1">
      <c r="A13" s="90" t="s">
        <v>25</v>
      </c>
      <c r="B13" s="113">
        <f>B6-B8-B9-B10-B11-B12</f>
        <v>8047.899999999984</v>
      </c>
      <c r="C13" s="113">
        <f>C6-C8-C9-C10-C11-C12</f>
        <v>32547.099999999962</v>
      </c>
      <c r="D13" s="113">
        <f>D6-D8-D9-D10-D11-D12</f>
        <v>2575.600000000054</v>
      </c>
      <c r="E13" s="94">
        <f>D13/D6*100</f>
        <v>1.4745325961815658</v>
      </c>
      <c r="F13" s="94">
        <f t="shared" si="3"/>
        <v>32.00337976366579</v>
      </c>
      <c r="G13" s="94">
        <f t="shared" si="0"/>
        <v>7.913454654946392</v>
      </c>
      <c r="H13" s="92">
        <f t="shared" si="2"/>
        <v>5472.29999999993</v>
      </c>
      <c r="I13" s="92">
        <f t="shared" si="1"/>
        <v>29971.49999999991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0" ht="18.75" thickBot="1">
      <c r="A18" s="18" t="s">
        <v>17</v>
      </c>
      <c r="B18" s="34">
        <v>104593.4</v>
      </c>
      <c r="C18" s="35">
        <f>417020.2+71.9</f>
        <v>417092.10000000003</v>
      </c>
      <c r="D18" s="36">
        <f>9880.4+236.6+6978.3+6921+371.7+499.9+9964.9+4030.7+430.2+29.9+505.9+258.6+9247.5+5793.8+177.6-0.3+50.4+1560.6+365+404.1+10080.2+6002.3+983.7</f>
        <v>74773</v>
      </c>
      <c r="E18" s="3">
        <f>D18/D155*100</f>
        <v>17.85884459798194</v>
      </c>
      <c r="F18" s="3">
        <f>D18/B18*100</f>
        <v>71.48921442461953</v>
      </c>
      <c r="G18" s="3">
        <f t="shared" si="0"/>
        <v>17.927215595788077</v>
      </c>
      <c r="H18" s="36">
        <f>B18-D18</f>
        <v>29820.399999999994</v>
      </c>
      <c r="I18" s="36">
        <f t="shared" si="1"/>
        <v>342319.10000000003</v>
      </c>
      <c r="J18" s="142"/>
    </row>
    <row r="19" spans="1:9" s="84" customFormat="1" ht="18.75">
      <c r="A19" s="125" t="s">
        <v>80</v>
      </c>
      <c r="B19" s="126">
        <v>51114.4</v>
      </c>
      <c r="C19" s="127">
        <v>204458.2</v>
      </c>
      <c r="D19" s="128">
        <f>9880.4+236.6+6921+499.9+9964.9+430.2+258.6+5793.8+50.4+1023.5+21.4+9702.8+983.7</f>
        <v>45767.2</v>
      </c>
      <c r="E19" s="129">
        <f>D19/D18*100</f>
        <v>61.20819012210289</v>
      </c>
      <c r="F19" s="129">
        <f t="shared" si="3"/>
        <v>89.53876011456653</v>
      </c>
      <c r="G19" s="129">
        <f t="shared" si="0"/>
        <v>22.384624338862416</v>
      </c>
      <c r="H19" s="128">
        <f t="shared" si="2"/>
        <v>5347.200000000004</v>
      </c>
      <c r="I19" s="128">
        <f t="shared" si="1"/>
        <v>158691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181.7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181.7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104411.7</v>
      </c>
      <c r="C25" s="113">
        <f>C18-C24</f>
        <v>416092.7</v>
      </c>
      <c r="D25" s="113">
        <f>D18-D24</f>
        <v>74773</v>
      </c>
      <c r="E25" s="94">
        <f>D25/D18*100</f>
        <v>100</v>
      </c>
      <c r="F25" s="94">
        <f t="shared" si="3"/>
        <v>71.61362184506143</v>
      </c>
      <c r="G25" s="94">
        <f t="shared" si="0"/>
        <v>17.97027441240858</v>
      </c>
      <c r="H25" s="92">
        <f>B25-D25</f>
        <v>29638.699999999997</v>
      </c>
      <c r="I25" s="92">
        <f t="shared" si="1"/>
        <v>341319.7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6622.8</v>
      </c>
      <c r="C33" s="35">
        <v>26954.8</v>
      </c>
      <c r="D33" s="38">
        <f>238.4+293+43.5+2+39.3+520.9+174.4+181.2+85.5+20.9+137.9+290.2+173.9+53.1+2.1+1.1+14+954.2-0.1+111.5+189.8+1.9+691.6+343.2+7.5</f>
        <v>4571.000000000001</v>
      </c>
      <c r="E33" s="3">
        <f>D33/D155*100</f>
        <v>1.0917413860267136</v>
      </c>
      <c r="F33" s="3">
        <f>D33/B33*100</f>
        <v>69.01914598055204</v>
      </c>
      <c r="G33" s="3">
        <f t="shared" si="0"/>
        <v>16.95801860893051</v>
      </c>
      <c r="H33" s="36">
        <f t="shared" si="2"/>
        <v>2051.7999999999993</v>
      </c>
      <c r="I33" s="36">
        <f t="shared" si="1"/>
        <v>22383.8</v>
      </c>
      <c r="J33" s="142"/>
    </row>
    <row r="34" spans="1:9" s="142" customFormat="1" ht="18">
      <c r="A34" s="90" t="s">
        <v>3</v>
      </c>
      <c r="B34" s="112">
        <v>3397.7</v>
      </c>
      <c r="C34" s="113">
        <v>14255.8</v>
      </c>
      <c r="D34" s="92">
        <f>95.5+254.3+520.9+145.6+77.4+290.2+14+629.4+494.6</f>
        <v>2521.9</v>
      </c>
      <c r="E34" s="94">
        <f>D34/D33*100</f>
        <v>55.171734850142194</v>
      </c>
      <c r="F34" s="94">
        <f t="shared" si="3"/>
        <v>74.2237395885452</v>
      </c>
      <c r="G34" s="94">
        <f t="shared" si="0"/>
        <v>17.69034357945538</v>
      </c>
      <c r="H34" s="92">
        <f t="shared" si="2"/>
        <v>875.7999999999997</v>
      </c>
      <c r="I34" s="92">
        <f t="shared" si="1"/>
        <v>11733.9</v>
      </c>
    </row>
    <row r="35" spans="1:9" s="142" customFormat="1" ht="18">
      <c r="A35" s="90" t="s">
        <v>1</v>
      </c>
      <c r="B35" s="112">
        <v>12</v>
      </c>
      <c r="C35" s="113">
        <v>87.1</v>
      </c>
      <c r="D35" s="92">
        <f>10+2+7.5</f>
        <v>19.5</v>
      </c>
      <c r="E35" s="94">
        <f>D35/D33*100</f>
        <v>0.42660249398381084</v>
      </c>
      <c r="F35" s="94">
        <f t="shared" si="3"/>
        <v>162.5</v>
      </c>
      <c r="G35" s="94">
        <f t="shared" si="0"/>
        <v>22.388059701492537</v>
      </c>
      <c r="H35" s="92">
        <f t="shared" si="2"/>
        <v>-7.5</v>
      </c>
      <c r="I35" s="92">
        <f t="shared" si="1"/>
        <v>67.6</v>
      </c>
    </row>
    <row r="36" spans="1:9" s="142" customFormat="1" ht="18">
      <c r="A36" s="90" t="s">
        <v>0</v>
      </c>
      <c r="B36" s="112">
        <v>859.1</v>
      </c>
      <c r="C36" s="113">
        <v>2087.8</v>
      </c>
      <c r="D36" s="92">
        <f>1.1+273.8+98.4</f>
        <v>373.30000000000007</v>
      </c>
      <c r="E36" s="94">
        <f>D36/D33*100</f>
        <v>8.16670312841829</v>
      </c>
      <c r="F36" s="94">
        <f t="shared" si="3"/>
        <v>43.45245023862182</v>
      </c>
      <c r="G36" s="94">
        <f t="shared" si="0"/>
        <v>17.880065140339116</v>
      </c>
      <c r="H36" s="92">
        <f t="shared" si="2"/>
        <v>485.79999999999995</v>
      </c>
      <c r="I36" s="92">
        <f t="shared" si="1"/>
        <v>1714.5</v>
      </c>
    </row>
    <row r="37" spans="1:9" s="84" customFormat="1" ht="18.75">
      <c r="A37" s="103" t="s">
        <v>7</v>
      </c>
      <c r="B37" s="123">
        <v>106.3</v>
      </c>
      <c r="C37" s="124">
        <v>1082.6</v>
      </c>
      <c r="D37" s="96">
        <f>38.7+2+2.3+2.6+2.1+1.9+12.2+7.5</f>
        <v>69.3</v>
      </c>
      <c r="E37" s="99">
        <f>D37/D33*100</f>
        <v>1.5160796324655434</v>
      </c>
      <c r="F37" s="99">
        <f t="shared" si="3"/>
        <v>65.1928504233302</v>
      </c>
      <c r="G37" s="99">
        <f t="shared" si="0"/>
        <v>6.40125623498984</v>
      </c>
      <c r="H37" s="96">
        <f t="shared" si="2"/>
        <v>37</v>
      </c>
      <c r="I37" s="96">
        <f t="shared" si="1"/>
        <v>1013.3</v>
      </c>
    </row>
    <row r="38" spans="1:9" s="142" customFormat="1" ht="18">
      <c r="A38" s="90" t="s">
        <v>12</v>
      </c>
      <c r="B38" s="112">
        <f>51+8.7</f>
        <v>59.7</v>
      </c>
      <c r="C38" s="113">
        <f>221.9+8.7</f>
        <v>230.6</v>
      </c>
      <c r="D38" s="113">
        <v>5.1</v>
      </c>
      <c r="E38" s="94">
        <f>D38/D33*100</f>
        <v>0.11157295996499668</v>
      </c>
      <c r="F38" s="94">
        <f t="shared" si="3"/>
        <v>8.542713567839195</v>
      </c>
      <c r="G38" s="94">
        <f t="shared" si="0"/>
        <v>2.2116218560277536</v>
      </c>
      <c r="H38" s="92">
        <f t="shared" si="2"/>
        <v>54.6</v>
      </c>
      <c r="I38" s="92">
        <f t="shared" si="1"/>
        <v>225.5</v>
      </c>
    </row>
    <row r="39" spans="1:9" s="142" customFormat="1" ht="18.75" thickBot="1">
      <c r="A39" s="90" t="s">
        <v>25</v>
      </c>
      <c r="B39" s="112">
        <f>B33-B34-B36-B37-B35-B38</f>
        <v>2188.0000000000005</v>
      </c>
      <c r="C39" s="112">
        <f>C33-C34-C36-C37-C35-C38</f>
        <v>9210.9</v>
      </c>
      <c r="D39" s="112">
        <f>D33-D34-D36-D37-D35-D38</f>
        <v>1581.9000000000008</v>
      </c>
      <c r="E39" s="94">
        <f>D39/D33*100</f>
        <v>34.607306935025164</v>
      </c>
      <c r="F39" s="94">
        <f t="shared" si="3"/>
        <v>72.29890310786108</v>
      </c>
      <c r="G39" s="94">
        <f t="shared" si="0"/>
        <v>17.174217503175594</v>
      </c>
      <c r="H39" s="92">
        <f>B39-D39</f>
        <v>606.0999999999997</v>
      </c>
      <c r="I39" s="92">
        <f t="shared" si="1"/>
        <v>7628.999999999999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19.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f>190+25</f>
        <v>215</v>
      </c>
      <c r="C43" s="35">
        <f>955.1+25</f>
        <v>980.1</v>
      </c>
      <c r="D43" s="36">
        <f>18+9.7+7.2+11.6+18.4+18.7+25.1+13.5</f>
        <v>122.20000000000002</v>
      </c>
      <c r="E43" s="3">
        <f>D43/D155*100</f>
        <v>0.029186348145365214</v>
      </c>
      <c r="F43" s="3">
        <f>D43/B43*100</f>
        <v>56.83720930232559</v>
      </c>
      <c r="G43" s="3">
        <f t="shared" si="0"/>
        <v>12.46811549841853</v>
      </c>
      <c r="H43" s="36">
        <f t="shared" si="2"/>
        <v>92.79999999999998</v>
      </c>
      <c r="I43" s="36">
        <f t="shared" si="1"/>
        <v>857.9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0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</row>
    <row r="46" spans="1:10" ht="18.75" thickBot="1">
      <c r="A46" s="18" t="s">
        <v>42</v>
      </c>
      <c r="B46" s="34">
        <v>4110.5</v>
      </c>
      <c r="C46" s="35">
        <v>16742.1</v>
      </c>
      <c r="D46" s="36">
        <f>346.4+682.6-0.1+14.1+556.7+0.1+721.1+127.1+71.4+15.4+390.3+13.9</f>
        <v>2939.0000000000005</v>
      </c>
      <c r="E46" s="3">
        <f>D46/D155*100</f>
        <v>0.7019531685697902</v>
      </c>
      <c r="F46" s="3">
        <f>D46/B46*100</f>
        <v>71.4998175404452</v>
      </c>
      <c r="G46" s="3">
        <f aca="true" t="shared" si="4" ref="G46:G77">D46/C46*100</f>
        <v>17.55454811523047</v>
      </c>
      <c r="H46" s="36">
        <f>B46-D46</f>
        <v>1171.4999999999995</v>
      </c>
      <c r="I46" s="36">
        <f aca="true" t="shared" si="5" ref="I46:I78">C46-D46</f>
        <v>13803.099999999999</v>
      </c>
      <c r="J46" s="142"/>
    </row>
    <row r="47" spans="1:9" s="142" customFormat="1" ht="18">
      <c r="A47" s="90" t="s">
        <v>3</v>
      </c>
      <c r="B47" s="112">
        <v>3569.9</v>
      </c>
      <c r="C47" s="113">
        <v>15270.9</v>
      </c>
      <c r="D47" s="92">
        <f>332.5+633.1+14.1+510.1+691.2+14.1+377.2</f>
        <v>2572.2999999999997</v>
      </c>
      <c r="E47" s="94">
        <f>D47/D46*100</f>
        <v>87.5229669955767</v>
      </c>
      <c r="F47" s="94">
        <f aca="true" t="shared" si="6" ref="F47:F75">D47/B47*100</f>
        <v>72.055239642567</v>
      </c>
      <c r="G47" s="94">
        <f t="shared" si="4"/>
        <v>16.844455795008805</v>
      </c>
      <c r="H47" s="92">
        <f aca="true" t="shared" si="7" ref="H47:H75">B47-D47</f>
        <v>997.6000000000004</v>
      </c>
      <c r="I47" s="92">
        <f t="shared" si="5"/>
        <v>12698.6</v>
      </c>
    </row>
    <row r="48" spans="1:9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</row>
    <row r="49" spans="1:9" s="142" customFormat="1" ht="18">
      <c r="A49" s="90" t="s">
        <v>1</v>
      </c>
      <c r="B49" s="112">
        <v>21.2</v>
      </c>
      <c r="C49" s="113">
        <v>106.3</v>
      </c>
      <c r="D49" s="92">
        <f>8.3+10.5</f>
        <v>18.8</v>
      </c>
      <c r="E49" s="94">
        <f>D49/D46*100</f>
        <v>0.6396733582851308</v>
      </c>
      <c r="F49" s="94">
        <f t="shared" si="6"/>
        <v>88.67924528301887</v>
      </c>
      <c r="G49" s="94">
        <f t="shared" si="4"/>
        <v>17.68579492003763</v>
      </c>
      <c r="H49" s="92">
        <f t="shared" si="7"/>
        <v>2.3999999999999986</v>
      </c>
      <c r="I49" s="92">
        <f t="shared" si="5"/>
        <v>87.5</v>
      </c>
    </row>
    <row r="50" spans="1:9" s="142" customFormat="1" ht="18">
      <c r="A50" s="90" t="s">
        <v>0</v>
      </c>
      <c r="B50" s="112">
        <v>445.7</v>
      </c>
      <c r="C50" s="113">
        <v>998.4</v>
      </c>
      <c r="D50" s="92">
        <f>13.9+43.7+37.9+3.3+112.6+65.7+2.1</f>
        <v>279.2</v>
      </c>
      <c r="E50" s="94">
        <f>D50/D46*100</f>
        <v>9.499829874106837</v>
      </c>
      <c r="F50" s="94">
        <f t="shared" si="6"/>
        <v>62.64303343055867</v>
      </c>
      <c r="G50" s="94">
        <f t="shared" si="4"/>
        <v>27.96474358974359</v>
      </c>
      <c r="H50" s="92">
        <f t="shared" si="7"/>
        <v>166.5</v>
      </c>
      <c r="I50" s="92">
        <f t="shared" si="5"/>
        <v>719.2</v>
      </c>
    </row>
    <row r="51" spans="1:9" s="142" customFormat="1" ht="18.75" thickBot="1">
      <c r="A51" s="90" t="s">
        <v>25</v>
      </c>
      <c r="B51" s="113">
        <f>B46-B47-B50-B49-B48</f>
        <v>72.79999999999991</v>
      </c>
      <c r="C51" s="113">
        <f>C46-C47-C50-C49-C48</f>
        <v>364.8999999999989</v>
      </c>
      <c r="D51" s="113">
        <f>D46-D47-D50-D49-D48</f>
        <v>68.70000000000074</v>
      </c>
      <c r="E51" s="94">
        <f>D51/D46*100</f>
        <v>2.337529772031328</v>
      </c>
      <c r="F51" s="94">
        <f t="shared" si="6"/>
        <v>94.36813186813299</v>
      </c>
      <c r="G51" s="94">
        <f t="shared" si="4"/>
        <v>18.82707591120881</v>
      </c>
      <c r="H51" s="92">
        <f t="shared" si="7"/>
        <v>4.09999999999917</v>
      </c>
      <c r="I51" s="92">
        <f t="shared" si="5"/>
        <v>296.19999999999817</v>
      </c>
    </row>
    <row r="52" spans="1:10" ht="18.75" thickBot="1">
      <c r="A52" s="18" t="s">
        <v>4</v>
      </c>
      <c r="B52" s="34">
        <v>12948.9</v>
      </c>
      <c r="C52" s="35">
        <v>54626.8</v>
      </c>
      <c r="D52" s="36">
        <f>721.7+145.3+5+112.8+1132.7+7.6+9.6+17.1+0.3+1056.5+185.3+56.2+95+1327.2+403.4+2.3+70.2+233.5+966+52.7+123+9.9</f>
        <v>6733.299999999999</v>
      </c>
      <c r="E52" s="3">
        <f>D52/D155*100</f>
        <v>1.6081868900751843</v>
      </c>
      <c r="F52" s="3">
        <f>D52/B52*100</f>
        <v>51.99901149904625</v>
      </c>
      <c r="G52" s="3">
        <f t="shared" si="4"/>
        <v>12.32600115694128</v>
      </c>
      <c r="H52" s="36">
        <f>B52-D52</f>
        <v>6215.6</v>
      </c>
      <c r="I52" s="36">
        <f t="shared" si="5"/>
        <v>47893.5</v>
      </c>
      <c r="J52" s="142"/>
    </row>
    <row r="53" spans="1:9" s="142" customFormat="1" ht="18">
      <c r="A53" s="90" t="s">
        <v>3</v>
      </c>
      <c r="B53" s="112">
        <v>6606.5</v>
      </c>
      <c r="C53" s="113">
        <v>25959.9</v>
      </c>
      <c r="D53" s="92">
        <f>721.7+980.4+865.2+984.4+270.7+792.3+9.9</f>
        <v>4624.599999999999</v>
      </c>
      <c r="E53" s="94">
        <f>D53/D52*100</f>
        <v>68.68251823028827</v>
      </c>
      <c r="F53" s="94">
        <f t="shared" si="6"/>
        <v>70.0007568303943</v>
      </c>
      <c r="G53" s="94">
        <f t="shared" si="4"/>
        <v>17.81439836054838</v>
      </c>
      <c r="H53" s="92">
        <f t="shared" si="7"/>
        <v>1981.9000000000005</v>
      </c>
      <c r="I53" s="92">
        <f t="shared" si="5"/>
        <v>21335.300000000003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947.9</v>
      </c>
      <c r="C55" s="113">
        <v>4332.1</v>
      </c>
      <c r="D55" s="92">
        <f>3.2+7.6+9.6+11.4+10.1+24.7+6.6+7.8+2.3+6.6+70.1</f>
        <v>159.99999999999997</v>
      </c>
      <c r="E55" s="94">
        <f>D55/D52*100</f>
        <v>2.3762493873732047</v>
      </c>
      <c r="F55" s="94">
        <f t="shared" si="6"/>
        <v>16.879417660090724</v>
      </c>
      <c r="G55" s="94">
        <f t="shared" si="4"/>
        <v>3.6933588790655794</v>
      </c>
      <c r="H55" s="92">
        <f t="shared" si="7"/>
        <v>787.9</v>
      </c>
      <c r="I55" s="92">
        <f t="shared" si="5"/>
        <v>4172.1</v>
      </c>
    </row>
    <row r="56" spans="1:9" s="142" customFormat="1" ht="18">
      <c r="A56" s="90" t="s">
        <v>0</v>
      </c>
      <c r="B56" s="112">
        <v>532</v>
      </c>
      <c r="C56" s="113">
        <v>1406.6</v>
      </c>
      <c r="D56" s="92">
        <f>0.3+1.2+21.4+80.5+2.4+14.5</f>
        <v>120.30000000000001</v>
      </c>
      <c r="E56" s="94">
        <f>D56/D52*100</f>
        <v>1.786642508131229</v>
      </c>
      <c r="F56" s="94">
        <f t="shared" si="6"/>
        <v>22.61278195488722</v>
      </c>
      <c r="G56" s="94">
        <f t="shared" si="4"/>
        <v>8.552538034977962</v>
      </c>
      <c r="H56" s="92">
        <f t="shared" si="7"/>
        <v>411.7</v>
      </c>
      <c r="I56" s="92">
        <f t="shared" si="5"/>
        <v>1286.3</v>
      </c>
    </row>
    <row r="57" spans="1:9" s="142" customFormat="1" ht="18">
      <c r="A57" s="90" t="s">
        <v>12</v>
      </c>
      <c r="B57" s="112">
        <v>906</v>
      </c>
      <c r="C57" s="113">
        <v>4640</v>
      </c>
      <c r="D57" s="113">
        <v>227</v>
      </c>
      <c r="E57" s="94">
        <f>D57/D52*100</f>
        <v>3.3713038183357344</v>
      </c>
      <c r="F57" s="94">
        <f>D57/B57*100</f>
        <v>25.055187637969095</v>
      </c>
      <c r="G57" s="94">
        <f>D57/C57*100</f>
        <v>4.892241379310345</v>
      </c>
      <c r="H57" s="92">
        <f t="shared" si="7"/>
        <v>679</v>
      </c>
      <c r="I57" s="92">
        <f t="shared" si="5"/>
        <v>4413</v>
      </c>
    </row>
    <row r="58" spans="1:9" s="142" customFormat="1" ht="18.75" thickBot="1">
      <c r="A58" s="90" t="s">
        <v>25</v>
      </c>
      <c r="B58" s="113">
        <f>B52-B53-B56-B55-B54-B57</f>
        <v>3956.5</v>
      </c>
      <c r="C58" s="113">
        <f>C52-C53-C56-C55-C54-C57</f>
        <v>18271.800000000003</v>
      </c>
      <c r="D58" s="113">
        <f>D52-D53-D56-D55-D54-D57</f>
        <v>1601.3999999999999</v>
      </c>
      <c r="E58" s="94">
        <f>D58/D52*100</f>
        <v>23.783286055871564</v>
      </c>
      <c r="F58" s="94">
        <f t="shared" si="6"/>
        <v>40.475167445974975</v>
      </c>
      <c r="G58" s="94">
        <f t="shared" si="4"/>
        <v>8.764325353823924</v>
      </c>
      <c r="H58" s="92">
        <f>B58-D58</f>
        <v>2355.1000000000004</v>
      </c>
      <c r="I58" s="92">
        <f>C58-D58</f>
        <v>16670.4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1189.8</v>
      </c>
      <c r="C60" s="35">
        <v>10268.5</v>
      </c>
      <c r="D60" s="36">
        <f>80.6+106+88.7+4.1+0.3+50.7+49.2+44+180.6+100.8+125</f>
        <v>830</v>
      </c>
      <c r="E60" s="3">
        <f>D60/D155*100</f>
        <v>0.19823788020174407</v>
      </c>
      <c r="F60" s="3">
        <f>D60/B60*100</f>
        <v>69.75962346612876</v>
      </c>
      <c r="G60" s="3">
        <f t="shared" si="4"/>
        <v>8.082972196523349</v>
      </c>
      <c r="H60" s="36">
        <f>B60-D60</f>
        <v>359.79999999999995</v>
      </c>
      <c r="I60" s="36">
        <f t="shared" si="5"/>
        <v>9438.5</v>
      </c>
      <c r="J60" s="142"/>
    </row>
    <row r="61" spans="1:9" s="142" customFormat="1" ht="18">
      <c r="A61" s="90" t="s">
        <v>3</v>
      </c>
      <c r="B61" s="112">
        <v>872.2</v>
      </c>
      <c r="C61" s="113">
        <v>3626.9</v>
      </c>
      <c r="D61" s="92">
        <f>80.6+106+88.7+4.1+50.7+38.1+180.6+95.6</f>
        <v>644.4000000000001</v>
      </c>
      <c r="E61" s="94">
        <f>D61/D60*100</f>
        <v>77.63855421686749</v>
      </c>
      <c r="F61" s="94">
        <f t="shared" si="6"/>
        <v>73.88213712451274</v>
      </c>
      <c r="G61" s="94">
        <f t="shared" si="4"/>
        <v>17.76723924012242</v>
      </c>
      <c r="H61" s="92">
        <f t="shared" si="7"/>
        <v>227.79999999999995</v>
      </c>
      <c r="I61" s="92">
        <f t="shared" si="5"/>
        <v>2982.5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250.6</v>
      </c>
      <c r="C63" s="113">
        <v>475.3</v>
      </c>
      <c r="D63" s="92">
        <f>9.6+44+118.7</f>
        <v>172.3</v>
      </c>
      <c r="E63" s="94">
        <f>D63/D60*100</f>
        <v>20.759036144578314</v>
      </c>
      <c r="F63" s="94">
        <f t="shared" si="6"/>
        <v>68.75498802873106</v>
      </c>
      <c r="G63" s="94">
        <f t="shared" si="4"/>
        <v>36.25078897538397</v>
      </c>
      <c r="H63" s="92">
        <f t="shared" si="7"/>
        <v>78.29999999999998</v>
      </c>
      <c r="I63" s="92">
        <f t="shared" si="5"/>
        <v>303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66.99999999999991</v>
      </c>
      <c r="C65" s="113">
        <f>C60-C61-C63-C64-C62</f>
        <v>897.6000000000004</v>
      </c>
      <c r="D65" s="113">
        <f>D60-D61-D63-D64-D62</f>
        <v>13.299999999999898</v>
      </c>
      <c r="E65" s="94">
        <f>D65/D60*100</f>
        <v>1.6024096385542044</v>
      </c>
      <c r="F65" s="94">
        <f t="shared" si="6"/>
        <v>19.85074626865659</v>
      </c>
      <c r="G65" s="94">
        <f t="shared" si="4"/>
        <v>1.481729055258455</v>
      </c>
      <c r="H65" s="92">
        <f t="shared" si="7"/>
        <v>53.70000000000002</v>
      </c>
      <c r="I65" s="92">
        <f t="shared" si="5"/>
        <v>884.3000000000004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95.9</v>
      </c>
      <c r="C70" s="35">
        <f>C71+C72</f>
        <v>548</v>
      </c>
      <c r="D70" s="36">
        <f>D71+D72</f>
        <v>50.6</v>
      </c>
      <c r="E70" s="27">
        <f>D70/D155*100</f>
        <v>0.012085345467720781</v>
      </c>
      <c r="F70" s="3">
        <f>D70/B70*100</f>
        <v>52.76329509906152</v>
      </c>
      <c r="G70" s="3">
        <f t="shared" si="4"/>
        <v>9.233576642335766</v>
      </c>
      <c r="H70" s="36">
        <f>B70-D70</f>
        <v>45.300000000000004</v>
      </c>
      <c r="I70" s="36">
        <f t="shared" si="5"/>
        <v>497.4</v>
      </c>
      <c r="J70" s="142"/>
    </row>
    <row r="71" spans="1:9" s="142" customFormat="1" ht="18">
      <c r="A71" s="90" t="s">
        <v>106</v>
      </c>
      <c r="B71" s="112">
        <v>50</v>
      </c>
      <c r="C71" s="113">
        <v>217.3</v>
      </c>
      <c r="D71" s="92">
        <v>50</v>
      </c>
      <c r="E71" s="94">
        <f>D71/D70*100</f>
        <v>98.81422924901186</v>
      </c>
      <c r="F71" s="94">
        <f t="shared" si="6"/>
        <v>100</v>
      </c>
      <c r="G71" s="94">
        <f t="shared" si="4"/>
        <v>23.00966405890474</v>
      </c>
      <c r="H71" s="92">
        <f t="shared" si="7"/>
        <v>0</v>
      </c>
      <c r="I71" s="92">
        <f t="shared" si="5"/>
        <v>167.3</v>
      </c>
    </row>
    <row r="72" spans="1:9" s="142" customFormat="1" ht="18.75" thickBot="1">
      <c r="A72" s="90" t="s">
        <v>107</v>
      </c>
      <c r="B72" s="112">
        <f>111.7-65.8</f>
        <v>45.900000000000006</v>
      </c>
      <c r="C72" s="113">
        <f>396.5-65.8</f>
        <v>330.7</v>
      </c>
      <c r="D72" s="92">
        <f>0.6</f>
        <v>0.6</v>
      </c>
      <c r="E72" s="94">
        <f>D72/D71*100</f>
        <v>1.2</v>
      </c>
      <c r="F72" s="94">
        <f t="shared" si="6"/>
        <v>1.30718954248366</v>
      </c>
      <c r="G72" s="94">
        <f t="shared" si="4"/>
        <v>0.18143332325370426</v>
      </c>
      <c r="H72" s="92">
        <f t="shared" si="7"/>
        <v>45.300000000000004</v>
      </c>
      <c r="I72" s="92">
        <f t="shared" si="5"/>
        <v>330.09999999999997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v>2500</v>
      </c>
      <c r="C78" s="49">
        <v>10000</v>
      </c>
      <c r="D78" s="50"/>
      <c r="E78" s="30"/>
      <c r="F78" s="30"/>
      <c r="G78" s="30"/>
      <c r="H78" s="50">
        <f>B78-D78</f>
        <v>2500</v>
      </c>
      <c r="I78" s="50">
        <f t="shared" si="5"/>
        <v>10000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v>55304.3</v>
      </c>
      <c r="C91" s="35">
        <v>208452.8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</f>
        <v>41106.100000000006</v>
      </c>
      <c r="E91" s="3">
        <f>D91/D155*100</f>
        <v>9.817814611278209</v>
      </c>
      <c r="F91" s="3">
        <f aca="true" t="shared" si="10" ref="F91:F97">D91/B91*100</f>
        <v>74.32713188667066</v>
      </c>
      <c r="G91" s="3">
        <f t="shared" si="8"/>
        <v>19.71961998111803</v>
      </c>
      <c r="H91" s="36">
        <f aca="true" t="shared" si="11" ref="H91:H97">B91-D91</f>
        <v>14198.199999999997</v>
      </c>
      <c r="I91" s="36">
        <f t="shared" si="9"/>
        <v>167346.69999999998</v>
      </c>
      <c r="J91" s="142"/>
    </row>
    <row r="92" spans="1:9" s="142" customFormat="1" ht="21.75" customHeight="1">
      <c r="A92" s="90" t="s">
        <v>3</v>
      </c>
      <c r="B92" s="112">
        <v>51618.2</v>
      </c>
      <c r="C92" s="113">
        <v>195523.2</v>
      </c>
      <c r="D92" s="92">
        <f>244+2447.7+2707.4+7.9+32.8+292+16+4.4+487.2+6367.9-0.1+2554.5+39.8+0.3+122+1.4+575.3+1176+3828+1657.6+10+5.7+877.3+7018.3+1997.5+99.9+196.5+40.7+134.2+1.1+1320.5+3625.9+1272.5</f>
        <v>39162.19999999999</v>
      </c>
      <c r="E92" s="94">
        <f>D92/D91*100</f>
        <v>95.27101817005259</v>
      </c>
      <c r="F92" s="94">
        <f t="shared" si="10"/>
        <v>75.86897644629218</v>
      </c>
      <c r="G92" s="94">
        <f t="shared" si="8"/>
        <v>20.029438961719116</v>
      </c>
      <c r="H92" s="92">
        <f t="shared" si="11"/>
        <v>12456.000000000007</v>
      </c>
      <c r="I92" s="92">
        <f t="shared" si="9"/>
        <v>156361.00000000003</v>
      </c>
    </row>
    <row r="93" spans="1:9" s="142" customFormat="1" ht="18">
      <c r="A93" s="90" t="s">
        <v>23</v>
      </c>
      <c r="B93" s="112">
        <f>1066.3</f>
        <v>1066.3</v>
      </c>
      <c r="C93" s="113">
        <v>2704.7</v>
      </c>
      <c r="D93" s="92">
        <f>56.2+5.4+7.1+340.1+77+0.5+3+170+5.7</f>
        <v>665</v>
      </c>
      <c r="E93" s="94">
        <f>D93/D91*100</f>
        <v>1.6177647599747966</v>
      </c>
      <c r="F93" s="94">
        <f t="shared" si="10"/>
        <v>62.365188033386474</v>
      </c>
      <c r="G93" s="94">
        <f t="shared" si="8"/>
        <v>24.58683033238437</v>
      </c>
      <c r="H93" s="92">
        <f t="shared" si="11"/>
        <v>401.29999999999995</v>
      </c>
      <c r="I93" s="92">
        <f t="shared" si="9"/>
        <v>2039.6999999999998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2619.8000000000056</v>
      </c>
      <c r="C95" s="113">
        <f>C91-C92-C93-C94</f>
        <v>10224.899999999976</v>
      </c>
      <c r="D95" s="113">
        <f>D91-D92-D93-D94</f>
        <v>1278.900000000016</v>
      </c>
      <c r="E95" s="94">
        <f>D95/D91*100</f>
        <v>3.1112170699726214</v>
      </c>
      <c r="F95" s="94">
        <f t="shared" si="10"/>
        <v>48.81670356515816</v>
      </c>
      <c r="G95" s="94">
        <f>D95/C95*100</f>
        <v>12.507701786814726</v>
      </c>
      <c r="H95" s="92">
        <f t="shared" si="11"/>
        <v>1340.8999999999896</v>
      </c>
      <c r="I95" s="92">
        <f>C95-D95</f>
        <v>8945.99999999996</v>
      </c>
    </row>
    <row r="96" spans="1:10" ht="18.75">
      <c r="A96" s="75" t="s">
        <v>10</v>
      </c>
      <c r="B96" s="83">
        <v>17087.2</v>
      </c>
      <c r="C96" s="78">
        <v>83543</v>
      </c>
      <c r="D96" s="77">
        <f>550.6+16+384.3+525.5+369.8+2.6+13.2+66.6+29.8+815.4+66.6+46.7+1198.1+490.3+154+72.1+121.6+525.1+495.6+452.5+67.7+766.7+27.8</f>
        <v>7258.6</v>
      </c>
      <c r="E96" s="74">
        <f>D96/D155*100</f>
        <v>1.7336499725691317</v>
      </c>
      <c r="F96" s="76">
        <f t="shared" si="10"/>
        <v>42.47975092466876</v>
      </c>
      <c r="G96" s="73">
        <f>D96/C96*100</f>
        <v>8.688459835055003</v>
      </c>
      <c r="H96" s="77">
        <f t="shared" si="11"/>
        <v>9828.6</v>
      </c>
      <c r="I96" s="79">
        <f>C96-D96</f>
        <v>76284.4</v>
      </c>
      <c r="J96" s="142"/>
    </row>
    <row r="97" spans="1:9" s="142" customFormat="1" ht="18.75" thickBot="1">
      <c r="A97" s="115" t="s">
        <v>81</v>
      </c>
      <c r="B97" s="116">
        <v>4014.9</v>
      </c>
      <c r="C97" s="117">
        <v>16376.6</v>
      </c>
      <c r="D97" s="118">
        <f>101+2.6+598.7+1.6</f>
        <v>703.9000000000001</v>
      </c>
      <c r="E97" s="119">
        <f>D97/D96*100</f>
        <v>9.697462320557685</v>
      </c>
      <c r="F97" s="120">
        <f t="shared" si="10"/>
        <v>17.53219258262971</v>
      </c>
      <c r="G97" s="121">
        <f>D97/C97*100</f>
        <v>4.298205976820586</v>
      </c>
      <c r="H97" s="122">
        <f t="shared" si="11"/>
        <v>3311</v>
      </c>
      <c r="I97" s="111">
        <f>C97-D97</f>
        <v>15672.7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15912.7+7.6</f>
        <v>15920.300000000001</v>
      </c>
      <c r="C103" s="65">
        <f>73778+7.6</f>
        <v>73785.6</v>
      </c>
      <c r="D103" s="61">
        <f>152.2+12.4+164.7+14+1585.4+13.1+10.2+18+148.6+2141.8+73.9+131.3+1879.3+351.3+97.1+16.6+48.3+0.1+592.9+250.5+1840.9+85.4+148.3</f>
        <v>9776.3</v>
      </c>
      <c r="E103" s="16">
        <f>D103/D155*100</f>
        <v>2.3349795038750725</v>
      </c>
      <c r="F103" s="16">
        <f>D103/B103*100</f>
        <v>61.40776241653737</v>
      </c>
      <c r="G103" s="16">
        <f aca="true" t="shared" si="12" ref="G103:G153">D103/C103*100</f>
        <v>13.249604258825567</v>
      </c>
      <c r="H103" s="61">
        <f aca="true" t="shared" si="13" ref="H103:H109">B103-D103</f>
        <v>6144.000000000002</v>
      </c>
      <c r="I103" s="61">
        <f aca="true" t="shared" si="14" ref="I103:I153">C103-D103</f>
        <v>64009.3</v>
      </c>
      <c r="J103" s="84"/>
    </row>
    <row r="104" spans="1:9" s="142" customFormat="1" ht="18.75" customHeight="1">
      <c r="A104" s="90" t="s">
        <v>3</v>
      </c>
      <c r="B104" s="104">
        <v>54.4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54.4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13985.3+7.6</f>
        <v>13992.9</v>
      </c>
      <c r="C105" s="92">
        <f>65554.9+7.6</f>
        <v>65562.5</v>
      </c>
      <c r="D105" s="92">
        <f>152.1+12.4+164.7+14+1585.4+8+18+148.5+2111.8+73.9+131.3+1879.3+114.9+217.3+66.2+14+0.1+582.9+250.5+1833.3+55+120.2</f>
        <v>9553.800000000001</v>
      </c>
      <c r="E105" s="94">
        <f>D105/D103*100</f>
        <v>97.72408784509479</v>
      </c>
      <c r="F105" s="94">
        <f aca="true" t="shared" si="15" ref="F105:F153">D105/B105*100</f>
        <v>68.27605428467295</v>
      </c>
      <c r="G105" s="94">
        <f t="shared" si="12"/>
        <v>14.57204957102002</v>
      </c>
      <c r="H105" s="92">
        <f t="shared" si="13"/>
        <v>4439.0999999999985</v>
      </c>
      <c r="I105" s="92">
        <f t="shared" si="14"/>
        <v>56008.7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1873.0000000000018</v>
      </c>
      <c r="C107" s="109">
        <f>C103-C104-C105</f>
        <v>7679.5</v>
      </c>
      <c r="D107" s="109">
        <f>D103-D104-D105</f>
        <v>222.49999999999818</v>
      </c>
      <c r="E107" s="110">
        <f>D107/D103*100</f>
        <v>2.2759121549052117</v>
      </c>
      <c r="F107" s="110">
        <f t="shared" si="15"/>
        <v>11.879337960491082</v>
      </c>
      <c r="G107" s="110">
        <f t="shared" si="12"/>
        <v>2.897324044534126</v>
      </c>
      <c r="H107" s="111">
        <f t="shared" si="13"/>
        <v>1650.5000000000036</v>
      </c>
      <c r="I107" s="111">
        <f t="shared" si="14"/>
        <v>7457.000000000002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136267.7</v>
      </c>
      <c r="C108" s="63">
        <f>SUM(C109:C152)-C116-C121+C153-C143-C144-C110-C113-C124-C125-C141-C134-C132-C139-C119</f>
        <v>668464</v>
      </c>
      <c r="D108" s="63">
        <f>SUM(D109:D152)-D116-D121+D153-D143-D144-D110-D113-D124-D125-D141-D134-D132-D139-D119</f>
        <v>95856.49999999999</v>
      </c>
      <c r="E108" s="64">
        <f>D108/D155*100</f>
        <v>22.894445016335514</v>
      </c>
      <c r="F108" s="64">
        <f>D108/B108*100</f>
        <v>70.34425619570888</v>
      </c>
      <c r="G108" s="64">
        <f t="shared" si="12"/>
        <v>14.339814859139757</v>
      </c>
      <c r="H108" s="63">
        <f t="shared" si="13"/>
        <v>40411.200000000026</v>
      </c>
      <c r="I108" s="63">
        <f t="shared" si="14"/>
        <v>572607.5</v>
      </c>
      <c r="J108" s="100"/>
    </row>
    <row r="109" spans="1:9" s="142" customFormat="1" ht="37.5">
      <c r="A109" s="85" t="s">
        <v>50</v>
      </c>
      <c r="B109" s="150">
        <v>1308.1</v>
      </c>
      <c r="C109" s="135">
        <v>4983.7</v>
      </c>
      <c r="D109" s="86">
        <f>1.8+140.5+138.5+0.9+33+80.9+13.3+0.1+53.3+109+1.4+124.9+19.8+24.9</f>
        <v>742.3</v>
      </c>
      <c r="E109" s="87">
        <f>D109/D108*100</f>
        <v>0.7743867134727432</v>
      </c>
      <c r="F109" s="87">
        <f t="shared" si="15"/>
        <v>56.74642611421146</v>
      </c>
      <c r="G109" s="87">
        <f t="shared" si="12"/>
        <v>14.894556253386037</v>
      </c>
      <c r="H109" s="88">
        <f t="shared" si="13"/>
        <v>565.8</v>
      </c>
      <c r="I109" s="88">
        <f t="shared" si="14"/>
        <v>4241.4</v>
      </c>
    </row>
    <row r="110" spans="1:9" s="142" customFormat="1" ht="18">
      <c r="A110" s="90" t="s">
        <v>23</v>
      </c>
      <c r="B110" s="91">
        <v>656.8</v>
      </c>
      <c r="C110" s="92">
        <v>2332.2</v>
      </c>
      <c r="D110" s="93">
        <f>2.4+138.5+0.9+33.1+80.9+53.3+1.8+1.1+124.9+24.9</f>
        <v>461.80000000000007</v>
      </c>
      <c r="E110" s="94">
        <f>D110/D109*100</f>
        <v>62.21204364812072</v>
      </c>
      <c r="F110" s="94">
        <f t="shared" si="15"/>
        <v>70.31059683313035</v>
      </c>
      <c r="G110" s="94">
        <f t="shared" si="12"/>
        <v>19.80104622245091</v>
      </c>
      <c r="H110" s="92">
        <f aca="true" t="shared" si="16" ref="H110:H153">B110-D110</f>
        <v>194.9999999999999</v>
      </c>
      <c r="I110" s="92">
        <f t="shared" si="14"/>
        <v>1870.3999999999996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6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75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6"/>
        <v>75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6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6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1547.7</v>
      </c>
      <c r="C115" s="88">
        <v>5785.2</v>
      </c>
      <c r="D115" s="86">
        <f>187.7+10.4+531.5+38.4+44.9+0.1+53.3+13.7</f>
        <v>880</v>
      </c>
      <c r="E115" s="87">
        <f>D115/D108*100</f>
        <v>0.9180389436292793</v>
      </c>
      <c r="F115" s="87">
        <f t="shared" si="15"/>
        <v>56.85856432125088</v>
      </c>
      <c r="G115" s="87">
        <f t="shared" si="12"/>
        <v>15.211228652423426</v>
      </c>
      <c r="H115" s="88">
        <f t="shared" si="16"/>
        <v>667.7</v>
      </c>
      <c r="I115" s="88">
        <f t="shared" si="14"/>
        <v>4905.2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6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6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6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303.7</v>
      </c>
      <c r="C120" s="96">
        <v>1024.8</v>
      </c>
      <c r="D120" s="86">
        <f>80.5+0.2+38.8+80.5+0.8+10+10.3</f>
        <v>221.10000000000002</v>
      </c>
      <c r="E120" s="87">
        <f>D120/D108*100</f>
        <v>0.23065728458685647</v>
      </c>
      <c r="F120" s="87">
        <f t="shared" si="15"/>
        <v>72.80210734277249</v>
      </c>
      <c r="G120" s="87">
        <f t="shared" si="12"/>
        <v>21.574941451990636</v>
      </c>
      <c r="H120" s="88">
        <f t="shared" si="16"/>
        <v>82.59999999999997</v>
      </c>
      <c r="I120" s="88">
        <f t="shared" si="14"/>
        <v>803.6999999999999</v>
      </c>
    </row>
    <row r="121" spans="1:9" s="101" customFormat="1" ht="18">
      <c r="A121" s="98" t="s">
        <v>41</v>
      </c>
      <c r="B121" s="91">
        <v>241.6</v>
      </c>
      <c r="C121" s="92">
        <v>724.7</v>
      </c>
      <c r="D121" s="93">
        <f>80.5+80.5</f>
        <v>161</v>
      </c>
      <c r="E121" s="94">
        <f>D121/D120*100</f>
        <v>72.81772953414743</v>
      </c>
      <c r="F121" s="94">
        <f t="shared" si="15"/>
        <v>66.63907284768213</v>
      </c>
      <c r="G121" s="94">
        <f t="shared" si="12"/>
        <v>22.216089416310194</v>
      </c>
      <c r="H121" s="92">
        <f t="shared" si="16"/>
        <v>80.6</v>
      </c>
      <c r="I121" s="92">
        <f t="shared" si="14"/>
        <v>563.7</v>
      </c>
    </row>
    <row r="122" spans="1:9" s="100" customFormat="1" ht="18.75">
      <c r="A122" s="95" t="s">
        <v>102</v>
      </c>
      <c r="B122" s="138">
        <v>40</v>
      </c>
      <c r="C122" s="96">
        <v>347</v>
      </c>
      <c r="D122" s="86"/>
      <c r="E122" s="87">
        <f>D122/D108*100</f>
        <v>0</v>
      </c>
      <c r="F122" s="87">
        <f t="shared" si="15"/>
        <v>0</v>
      </c>
      <c r="G122" s="87">
        <f t="shared" si="12"/>
        <v>0</v>
      </c>
      <c r="H122" s="88">
        <f t="shared" si="16"/>
        <v>40</v>
      </c>
      <c r="I122" s="88">
        <f t="shared" si="14"/>
        <v>347</v>
      </c>
    </row>
    <row r="123" spans="1:9" s="100" customFormat="1" ht="21.75" customHeight="1">
      <c r="A123" s="95" t="s">
        <v>92</v>
      </c>
      <c r="B123" s="138"/>
      <c r="C123" s="96">
        <v>86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6"/>
        <v>0</v>
      </c>
      <c r="I123" s="88">
        <f t="shared" si="14"/>
        <v>86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6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6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5720.1</v>
      </c>
      <c r="C126" s="96">
        <v>6156.2</v>
      </c>
      <c r="D126" s="97">
        <f>871.9+408.1+585.9+900.5+901.8+879.7</f>
        <v>4547.9</v>
      </c>
      <c r="E126" s="99">
        <f>D126/D108*100</f>
        <v>4.744487854240454</v>
      </c>
      <c r="F126" s="87">
        <f t="shared" si="15"/>
        <v>79.50735127008268</v>
      </c>
      <c r="G126" s="87">
        <f t="shared" si="12"/>
        <v>73.87511776745394</v>
      </c>
      <c r="H126" s="88">
        <f t="shared" si="16"/>
        <v>1172.2000000000007</v>
      </c>
      <c r="I126" s="88">
        <f t="shared" si="14"/>
        <v>1608.3000000000002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6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198.5</v>
      </c>
      <c r="C128" s="96">
        <v>483</v>
      </c>
      <c r="D128" s="97">
        <v>2.2</v>
      </c>
      <c r="E128" s="99">
        <f>D128/D108*100</f>
        <v>0.0022950973590731985</v>
      </c>
      <c r="F128" s="87">
        <f t="shared" si="15"/>
        <v>1.1083123425692696</v>
      </c>
      <c r="G128" s="87">
        <f t="shared" si="12"/>
        <v>0.45548654244306425</v>
      </c>
      <c r="H128" s="88">
        <f t="shared" si="16"/>
        <v>196.3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77.1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6"/>
        <v>77.1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6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207</v>
      </c>
      <c r="C131" s="96">
        <v>1003.9</v>
      </c>
      <c r="D131" s="97">
        <f>7.7+12.9+2.8+0.3+0.9+48+9.2+16+18.7</f>
        <v>116.5</v>
      </c>
      <c r="E131" s="99">
        <f>D131/D108*100</f>
        <v>0.12153583742364892</v>
      </c>
      <c r="F131" s="87">
        <f t="shared" si="15"/>
        <v>56.28019323671497</v>
      </c>
      <c r="G131" s="87">
        <f t="shared" si="12"/>
        <v>11.60474150811834</v>
      </c>
      <c r="H131" s="88">
        <f t="shared" si="16"/>
        <v>90.5</v>
      </c>
      <c r="I131" s="88">
        <f t="shared" si="14"/>
        <v>887.4</v>
      </c>
      <c r="M131" s="89"/>
    </row>
    <row r="132" spans="1:13" s="101" customFormat="1" ht="18">
      <c r="A132" s="90" t="s">
        <v>86</v>
      </c>
      <c r="B132" s="91">
        <v>78.8</v>
      </c>
      <c r="C132" s="92">
        <v>553.3</v>
      </c>
      <c r="D132" s="93">
        <f>7.7+48+7.7</f>
        <v>63.400000000000006</v>
      </c>
      <c r="E132" s="94">
        <f>D132/D131*100</f>
        <v>54.420600858369106</v>
      </c>
      <c r="F132" s="94">
        <f>D132/B132*100</f>
        <v>80.45685279187819</v>
      </c>
      <c r="G132" s="94">
        <f t="shared" si="12"/>
        <v>11.458521597686609</v>
      </c>
      <c r="H132" s="92">
        <f t="shared" si="16"/>
        <v>15.399999999999991</v>
      </c>
      <c r="I132" s="92">
        <f t="shared" si="14"/>
        <v>489.9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6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6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6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6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741.3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6"/>
        <v>741.3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30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6"/>
        <v>30</v>
      </c>
      <c r="I138" s="88">
        <f t="shared" si="14"/>
        <v>350</v>
      </c>
    </row>
    <row r="139" spans="1:9" s="101" customFormat="1" ht="18">
      <c r="A139" s="90" t="s">
        <v>86</v>
      </c>
      <c r="B139" s="91">
        <v>10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10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198.9</v>
      </c>
      <c r="C140" s="96">
        <v>642.9</v>
      </c>
      <c r="D140" s="97">
        <f>3.4+29.8</f>
        <v>33.2</v>
      </c>
      <c r="E140" s="99">
        <f>D140/D108*100</f>
        <v>0.03463510560055918</v>
      </c>
      <c r="F140" s="87">
        <f>D140/B140*100</f>
        <v>16.691804927099046</v>
      </c>
      <c r="G140" s="87">
        <f>D140/C140*100</f>
        <v>5.164100171099705</v>
      </c>
      <c r="H140" s="88">
        <f t="shared" si="16"/>
        <v>165.7</v>
      </c>
      <c r="I140" s="88">
        <f t="shared" si="14"/>
        <v>609.6999999999999</v>
      </c>
    </row>
    <row r="141" spans="1:9" s="101" customFormat="1" ht="18">
      <c r="A141" s="90" t="s">
        <v>23</v>
      </c>
      <c r="B141" s="91">
        <v>168.9</v>
      </c>
      <c r="C141" s="92">
        <v>524.9</v>
      </c>
      <c r="D141" s="93">
        <f>0.4+29.8</f>
        <v>30.2</v>
      </c>
      <c r="E141" s="94">
        <f>D141/D140*100</f>
        <v>90.96385542168673</v>
      </c>
      <c r="F141" s="94">
        <f t="shared" si="15"/>
        <v>17.88040260509177</v>
      </c>
      <c r="G141" s="94">
        <f>D141/C141*100</f>
        <v>5.753476852733854</v>
      </c>
      <c r="H141" s="92">
        <f t="shared" si="16"/>
        <v>138.70000000000002</v>
      </c>
      <c r="I141" s="92">
        <f t="shared" si="14"/>
        <v>494.7</v>
      </c>
    </row>
    <row r="142" spans="1:9" s="100" customFormat="1" ht="18.75">
      <c r="A142" s="95" t="s">
        <v>94</v>
      </c>
      <c r="B142" s="138">
        <v>533.8</v>
      </c>
      <c r="C142" s="96">
        <v>2262.8</v>
      </c>
      <c r="D142" s="97">
        <f>33.6+100.1+61.4+1.9+88.9+76.4</f>
        <v>362.29999999999995</v>
      </c>
      <c r="E142" s="99">
        <f>D142/D108*100</f>
        <v>0.3779608059964635</v>
      </c>
      <c r="F142" s="87">
        <f t="shared" si="15"/>
        <v>67.87186212064444</v>
      </c>
      <c r="G142" s="87">
        <f t="shared" si="12"/>
        <v>16.011136644864767</v>
      </c>
      <c r="H142" s="88">
        <f t="shared" si="16"/>
        <v>171.5</v>
      </c>
      <c r="I142" s="88">
        <f t="shared" si="14"/>
        <v>1900.5000000000002</v>
      </c>
    </row>
    <row r="143" spans="1:9" s="101" customFormat="1" ht="18">
      <c r="A143" s="98" t="s">
        <v>41</v>
      </c>
      <c r="B143" s="91">
        <v>411</v>
      </c>
      <c r="C143" s="92">
        <v>1867.4</v>
      </c>
      <c r="D143" s="93">
        <f>33.6+99.1+51.9+81.4+59</f>
        <v>325</v>
      </c>
      <c r="E143" s="94">
        <f>D143/D142*100</f>
        <v>89.70466464256143</v>
      </c>
      <c r="F143" s="94">
        <f aca="true" t="shared" si="17" ref="F143:F152">D143/B143*100</f>
        <v>79.07542579075427</v>
      </c>
      <c r="G143" s="94">
        <f t="shared" si="12"/>
        <v>17.40387704830245</v>
      </c>
      <c r="H143" s="92">
        <f t="shared" si="16"/>
        <v>86</v>
      </c>
      <c r="I143" s="92">
        <f t="shared" si="14"/>
        <v>1542.4</v>
      </c>
    </row>
    <row r="144" spans="1:9" s="101" customFormat="1" ht="18">
      <c r="A144" s="90" t="s">
        <v>23</v>
      </c>
      <c r="B144" s="91">
        <v>25.2</v>
      </c>
      <c r="C144" s="92">
        <v>48</v>
      </c>
      <c r="D144" s="93">
        <f>9.3+7.4</f>
        <v>16.700000000000003</v>
      </c>
      <c r="E144" s="94">
        <f>D144/D142*100</f>
        <v>4.609439690863926</v>
      </c>
      <c r="F144" s="94">
        <f t="shared" si="17"/>
        <v>66.26984126984128</v>
      </c>
      <c r="G144" s="94">
        <f>D144/C144*100</f>
        <v>34.79166666666667</v>
      </c>
      <c r="H144" s="92">
        <f t="shared" si="16"/>
        <v>8.499999999999996</v>
      </c>
      <c r="I144" s="92">
        <f t="shared" si="14"/>
        <v>31.299999999999997</v>
      </c>
    </row>
    <row r="145" spans="1:9" s="100" customFormat="1" ht="33.75" customHeight="1" hidden="1">
      <c r="A145" s="103" t="s">
        <v>54</v>
      </c>
      <c r="B145" s="138">
        <v>0</v>
      </c>
      <c r="C145" s="96"/>
      <c r="D145" s="97"/>
      <c r="E145" s="99">
        <f>D145/D108*100</f>
        <v>0</v>
      </c>
      <c r="F145" s="87" t="e">
        <f t="shared" si="17"/>
        <v>#DIV/0!</v>
      </c>
      <c r="G145" s="87" t="e">
        <f t="shared" si="12"/>
        <v>#DIV/0!</v>
      </c>
      <c r="H145" s="88">
        <f t="shared" si="16"/>
        <v>0</v>
      </c>
      <c r="I145" s="88">
        <f t="shared" si="14"/>
        <v>0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6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v>28879.4</v>
      </c>
      <c r="C147" s="96">
        <v>148561.8</v>
      </c>
      <c r="D147" s="97">
        <f>457.7+20.2+2395.4+103.8+376.7+1013.1+85.7+519.6+3989.1+192.1+9596.6+54.9+0.1+1136.8+45.8+142.4</f>
        <v>20130</v>
      </c>
      <c r="E147" s="99">
        <f>D147/D108*100</f>
        <v>21.000140835519765</v>
      </c>
      <c r="F147" s="87">
        <f t="shared" si="17"/>
        <v>69.70366420354993</v>
      </c>
      <c r="G147" s="87">
        <f t="shared" si="12"/>
        <v>13.549916600364295</v>
      </c>
      <c r="H147" s="88">
        <f t="shared" si="16"/>
        <v>8749.400000000001</v>
      </c>
      <c r="I147" s="88">
        <f t="shared" si="14"/>
        <v>128431.79999999999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7"/>
        <v>#DIV/0!</v>
      </c>
      <c r="G148" s="87" t="e">
        <f t="shared" si="12"/>
        <v>#DIV/0!</v>
      </c>
      <c r="H148" s="88">
        <f t="shared" si="16"/>
        <v>0</v>
      </c>
      <c r="I148" s="88">
        <f t="shared" si="14"/>
        <v>0</v>
      </c>
    </row>
    <row r="149" spans="1:9" s="100" customFormat="1" ht="18.75">
      <c r="A149" s="103" t="s">
        <v>111</v>
      </c>
      <c r="B149" s="138">
        <v>10</v>
      </c>
      <c r="C149" s="96">
        <v>50</v>
      </c>
      <c r="D149" s="97"/>
      <c r="E149" s="99">
        <f>D149/D110*100</f>
        <v>0</v>
      </c>
      <c r="F149" s="87">
        <f>D149/B149*100</f>
        <v>0</v>
      </c>
      <c r="G149" s="87">
        <f>D149/C149*100</f>
        <v>0</v>
      </c>
      <c r="H149" s="88">
        <f>B149-D149</f>
        <v>10</v>
      </c>
      <c r="I149" s="88">
        <f>C149-D149</f>
        <v>50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0.030775169133026976</v>
      </c>
      <c r="F150" s="87">
        <f t="shared" si="17"/>
        <v>100</v>
      </c>
      <c r="G150" s="87">
        <f t="shared" si="12"/>
        <v>31.416400425985085</v>
      </c>
      <c r="H150" s="88">
        <f t="shared" si="16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100+2645</f>
        <v>2745</v>
      </c>
      <c r="C151" s="96">
        <f>509.5+13731.5</f>
        <v>14241</v>
      </c>
      <c r="D151" s="97">
        <f>469.6+898.6+871.8</f>
        <v>2240</v>
      </c>
      <c r="E151" s="99">
        <f>D151/D108*100</f>
        <v>2.336826401965438</v>
      </c>
      <c r="F151" s="87">
        <f t="shared" si="17"/>
        <v>81.60291438979964</v>
      </c>
      <c r="G151" s="87">
        <f t="shared" si="12"/>
        <v>15.729232497717858</v>
      </c>
      <c r="H151" s="88">
        <f t="shared" si="16"/>
        <v>505</v>
      </c>
      <c r="I151" s="88">
        <f t="shared" si="14"/>
        <v>12001</v>
      </c>
    </row>
    <row r="152" spans="1:9" s="100" customFormat="1" ht="19.5" customHeight="1">
      <c r="A152" s="95" t="s">
        <v>48</v>
      </c>
      <c r="B152" s="138">
        <f>76629.4+12</f>
        <v>76641.4</v>
      </c>
      <c r="C152" s="96">
        <f>410786+12</f>
        <v>410798</v>
      </c>
      <c r="D152" s="97">
        <f>9702+30405.7+10266.3+91.6-29196.2+1482.1+9293.3+20631.5+2864.5+2072.8+10611.8+26.4-6447.8-3782.8-4677.3</f>
        <v>53343.89999999998</v>
      </c>
      <c r="E152" s="99">
        <f>D152/D108*100</f>
        <v>55.64974727848397</v>
      </c>
      <c r="F152" s="87">
        <f t="shared" si="17"/>
        <v>69.60193837795237</v>
      </c>
      <c r="G152" s="87">
        <f t="shared" si="12"/>
        <v>12.985433229957296</v>
      </c>
      <c r="H152" s="88">
        <f t="shared" si="16"/>
        <v>23297.500000000015</v>
      </c>
      <c r="I152" s="88">
        <f>C152-D152</f>
        <v>357454.10000000003</v>
      </c>
    </row>
    <row r="153" spans="1:9" s="100" customFormat="1" ht="18.75">
      <c r="A153" s="95" t="s">
        <v>97</v>
      </c>
      <c r="B153" s="138">
        <v>16981.2</v>
      </c>
      <c r="C153" s="96">
        <v>67925</v>
      </c>
      <c r="D153" s="97">
        <f>1886.8+1886.8+1886.8+1886.8+1886.8+1886.8+1886.8</f>
        <v>13207.599999999999</v>
      </c>
      <c r="E153" s="99">
        <f>D153/D108*100</f>
        <v>13.778512672588713</v>
      </c>
      <c r="F153" s="87">
        <f t="shared" si="15"/>
        <v>77.77777777777777</v>
      </c>
      <c r="G153" s="87">
        <f t="shared" si="12"/>
        <v>19.44438719175561</v>
      </c>
      <c r="H153" s="88">
        <f t="shared" si="16"/>
        <v>3773.600000000002</v>
      </c>
      <c r="I153" s="88">
        <f t="shared" si="14"/>
        <v>54717.4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105805.59999999998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607524.2</v>
      </c>
      <c r="C155" s="36">
        <f>C6+C18+C33+C43+C52+C60+C70+C73+C78+C80+C88+C91+C96+C103+C108+C101+C85+C99+C46</f>
        <v>2485478.0000000005</v>
      </c>
      <c r="D155" s="36">
        <f>D6+D18+D33+D43+D52+D60+D70+D73+D78+D80+D88+D91+D96+D103+D108+D101+D85+D99+D46</f>
        <v>418688.9</v>
      </c>
      <c r="E155" s="25">
        <v>100</v>
      </c>
      <c r="F155" s="3">
        <f>D155/B155*100</f>
        <v>68.91723819396825</v>
      </c>
      <c r="G155" s="3">
        <f aca="true" t="shared" si="18" ref="G155:G161">D155/C155*100</f>
        <v>16.845407603688304</v>
      </c>
      <c r="H155" s="36">
        <f>B155-D155</f>
        <v>188835.29999999993</v>
      </c>
      <c r="I155" s="36">
        <f aca="true" t="shared" si="19" ref="I155:I161">C155-D155</f>
        <v>2066789.1000000006</v>
      </c>
      <c r="K155" s="143">
        <f>D155-114199.9-202905.8</f>
        <v>101583.20000000001</v>
      </c>
    </row>
    <row r="156" spans="1:9" ht="18.75">
      <c r="A156" s="15" t="s">
        <v>5</v>
      </c>
      <c r="B156" s="47">
        <f>B8+B20+B34+B53+B61+B92+B116+B121+B47+B143+B134+B104</f>
        <v>240467.70000000004</v>
      </c>
      <c r="C156" s="47">
        <f>C8+C20+C34+C53+C61+C92+C116+C121+C47+C143+C134+C104</f>
        <v>984460.0000000001</v>
      </c>
      <c r="D156" s="47">
        <f>D8+D20+D34+D53+D61+D92+D116+D121+D47+D143+D134+D104</f>
        <v>186694.79999999996</v>
      </c>
      <c r="E156" s="6">
        <f>D156/D155*100</f>
        <v>44.590339032154894</v>
      </c>
      <c r="F156" s="6">
        <f aca="true" t="shared" si="20" ref="F156:F161">D156/B156*100</f>
        <v>77.63820255277525</v>
      </c>
      <c r="G156" s="6">
        <f t="shared" si="18"/>
        <v>18.964183410194416</v>
      </c>
      <c r="H156" s="48">
        <f aca="true" t="shared" si="21" ref="H156:H161">B156-D156</f>
        <v>53772.90000000008</v>
      </c>
      <c r="I156" s="58">
        <f t="shared" si="19"/>
        <v>797765.2000000002</v>
      </c>
    </row>
    <row r="157" spans="1:9" ht="18.75">
      <c r="A157" s="15" t="s">
        <v>0</v>
      </c>
      <c r="B157" s="88">
        <f>B11+B23+B36+B56+B63+B93+B50+B144+B110+B113+B97+B141+B130</f>
        <v>59722.1</v>
      </c>
      <c r="C157" s="88">
        <f>C11+C23+C36+C56+C63+C93+C50+C144+C110+C113+C97+C141+C130</f>
        <v>125178.8</v>
      </c>
      <c r="D157" s="88">
        <f>D11+D23+D36+D56+D63+D93+D50+D144+D110+D113+D97+D141+D130</f>
        <v>27661.399999999998</v>
      </c>
      <c r="E157" s="6">
        <f>D157/D155*100</f>
        <v>6.606671445075328</v>
      </c>
      <c r="F157" s="6">
        <f t="shared" si="20"/>
        <v>46.31685757868527</v>
      </c>
      <c r="G157" s="6">
        <f t="shared" si="18"/>
        <v>22.097511719236802</v>
      </c>
      <c r="H157" s="48">
        <f>B157-D157</f>
        <v>32060.7</v>
      </c>
      <c r="I157" s="58">
        <f t="shared" si="19"/>
        <v>97517.40000000001</v>
      </c>
    </row>
    <row r="158" spans="1:9" ht="18.75">
      <c r="A158" s="15" t="s">
        <v>1</v>
      </c>
      <c r="B158" s="149">
        <f>B22+B10+B55+B49+B62+B35+B125</f>
        <v>14731.4</v>
      </c>
      <c r="C158" s="149">
        <f>C22+C10+C55+C49+C62+C35+C125</f>
        <v>48385.3</v>
      </c>
      <c r="D158" s="149">
        <f>D22+D10+D55+D49+D62+D35+D125</f>
        <v>8310.699999999999</v>
      </c>
      <c r="E158" s="6">
        <f>D158/D155*100</f>
        <v>1.9849343987863062</v>
      </c>
      <c r="F158" s="6">
        <f t="shared" si="20"/>
        <v>56.41486891945097</v>
      </c>
      <c r="G158" s="6">
        <f t="shared" si="18"/>
        <v>17.17608447193672</v>
      </c>
      <c r="H158" s="48">
        <f t="shared" si="21"/>
        <v>6420.700000000001</v>
      </c>
      <c r="I158" s="58">
        <f t="shared" si="19"/>
        <v>40074.600000000006</v>
      </c>
    </row>
    <row r="159" spans="1:9" ht="21" customHeight="1">
      <c r="A159" s="15" t="s">
        <v>12</v>
      </c>
      <c r="B159" s="149">
        <f>B12+B24+B105+B64+B38+B94+B132+B57+B139+B119+B44</f>
        <v>18648.8</v>
      </c>
      <c r="C159" s="149">
        <f>C12+C24+C105+C64+C38+C94+C132+C57+C139+C119+C44</f>
        <v>90012.5</v>
      </c>
      <c r="D159" s="149">
        <f>D12+D24+D105+D64+D38+D94+D132+D57+D139+D119+D44</f>
        <v>12294</v>
      </c>
      <c r="E159" s="6">
        <f>D159/D155*100</f>
        <v>2.9363090351810137</v>
      </c>
      <c r="F159" s="6">
        <f t="shared" si="20"/>
        <v>65.92381279224401</v>
      </c>
      <c r="G159" s="6">
        <f t="shared" si="18"/>
        <v>13.65810304124427</v>
      </c>
      <c r="H159" s="48">
        <f>B159-D159</f>
        <v>6354.799999999999</v>
      </c>
      <c r="I159" s="58">
        <f t="shared" si="19"/>
        <v>77718.5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17.5</v>
      </c>
      <c r="E160" s="6">
        <f>D160/D155*100</f>
        <v>0.004179714341603038</v>
      </c>
      <c r="F160" s="6">
        <f t="shared" si="20"/>
        <v>33.26996197718631</v>
      </c>
      <c r="G160" s="6">
        <f t="shared" si="18"/>
        <v>14.239218877135881</v>
      </c>
      <c r="H160" s="48">
        <f t="shared" si="21"/>
        <v>35.1</v>
      </c>
      <c r="I160" s="58">
        <f t="shared" si="19"/>
        <v>105.4</v>
      </c>
    </row>
    <row r="161" spans="1:9" ht="19.5" thickBot="1">
      <c r="A161" s="80" t="s">
        <v>25</v>
      </c>
      <c r="B161" s="60">
        <f>B155-B156-B157-B158-B159-B160</f>
        <v>273901.5999999999</v>
      </c>
      <c r="C161" s="60">
        <f>C155-C156-C157-C158-C159-C160</f>
        <v>1237318.5000000005</v>
      </c>
      <c r="D161" s="60">
        <f>D155-D156-D157-D158-D159-D160</f>
        <v>183710.50000000006</v>
      </c>
      <c r="E161" s="28">
        <f>D161/D155*100</f>
        <v>43.877566374460855</v>
      </c>
      <c r="F161" s="28">
        <f t="shared" si="20"/>
        <v>67.07171480560906</v>
      </c>
      <c r="G161" s="28">
        <f t="shared" si="18"/>
        <v>14.847470558308146</v>
      </c>
      <c r="H161" s="81">
        <f t="shared" si="21"/>
        <v>90191.09999999986</v>
      </c>
      <c r="I161" s="81">
        <f t="shared" si="19"/>
        <v>1053608.0000000005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2485478.0000000005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418688.9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2485478.0000000005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418688.9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2019-03-15T13:57:11Z</dcterms:modified>
  <cp:category/>
  <cp:version/>
  <cp:contentType/>
  <cp:contentStatus/>
</cp:coreProperties>
</file>